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<sst xmlns="http://schemas.openxmlformats.org/spreadsheetml/2006/main" count="145" uniqueCount="140">
  <si>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</si>
  <si>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</si>
  <si>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</si>
  <si>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</si>
  <si>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</si>
  <si>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</si>
  <si>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</si>
  <si>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</si>
  <si>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</si>
  <si>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</si>
  <si>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</si>
  <si>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</si>
  <si>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</si>
  <si>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</si>
  <si>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</si>
  <si>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</si>
  <si>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</si>
  <si>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</si>
  <si>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</si>
  <si>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</si>
  <si>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</si>
  <si>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</si>
  <si>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</si>
  <si>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</si>
  <si>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</si>
  <si>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</si>
  <si>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</si>
  <si>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</si>
  <si>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</si>
  <si>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</si>
  <si>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</si>
  <si>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</si>
  <si>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</si>
  <si>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</si>
  <si>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</si>
  <si>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</si>
  <si>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</si>
  <si>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</si>
  <si>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</si>
  <si>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</si>
  <si>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</si>
  <si>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</si>
  <si>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</si>
  <si>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</si>
  <si>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</si>
  <si>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</si>
  <si>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</si>
  <si>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</si>
  <si>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</si>
  <si>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</si>
  <si>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</si>
  <si>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</si>
  <si>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</si>
  <si>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</si>
  <si>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</si>
  <si>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</si>
  <si>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</si>
  <si>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</si>
  <si>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</si>
  <si>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</si>
  <si>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</si>
  <si>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</si>
  <si>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</si>
  <si>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</si>
  <si>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</si>
  <si>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</si>
  <si>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</si>
  <si>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</si>
  <si>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</si>
  <si>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</si>
  <si>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</si>
  <si>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</si>
  <si>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</si>
  <si>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</si>
  <si>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</si>
  <si>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</si>
  <si>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</si>
  <si>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</si>
  <si>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</si>
  <si>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</si>
  <si>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</si>
  <si>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</si>
  <si>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</si>
  <si>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</si>
  <si>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</si>
  <si>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</si>
  <si>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</si>
  <si>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</si>
  <si>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</si>
  <si>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</si>
  <si>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</si>
  <si>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</si>
  <si>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</si>
  <si>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</si>
  <si>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</si>
  <si>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</si>
  <si>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</si>
  <si>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</si>
  <si>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</si>
  <si>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</si>
  <si>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</si>
  <si>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</si>
  <si>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</si>
  <si>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</si>
  <si>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</si>
  <si>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</si>
  <si>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</si>
  <si>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</si>
  <si>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</si>
  <si>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</si>
  <si>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</si>
  <si>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</si>
  <si>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</si>
  <si>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</si>
  <si>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</si>
  <si>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</si>
  <si>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</si>
  <si>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</si>
  <si>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</si>
  <si>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</si>
  <si>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</si>
  <si>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</si>
  <si>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</si>
  <si>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</si>
  <si>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</si>
  <si>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</si>
  <si>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</si>
  <si>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</si>
  <si>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</si>
  <si>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</si>
  <si>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</si>
  <si>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</si>
  <si>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</si>
  <si>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</si>
  <si>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</si>
  <si>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</si>
  <si>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</si>
  <si>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11 місяців</t>
  </si>
  <si>
    <t>Залишок призначень до плану 11 місяців</t>
  </si>
  <si>
    <t>Касові видатки станом на 05.11.18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</si>
</sst>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4" fontId="27" fillId="26" borderId="11" xfId="0" applyNumberFormat="1" applyFont="1" applyFill="1" applyBorder="1" applyAlignment="1">
      <alignment horizontal="center" vertical="center"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4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5" xfId="112" applyFont="1" applyBorder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M18" sqref="AM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89" t="s">
        <v>14</v>
      </c>
      <c r="E1" s="90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94" t="s">
        <v>16</v>
      </c>
      <c r="B3" s="94"/>
      <c r="C3" s="94"/>
      <c r="D3" s="94"/>
      <c r="E3" s="94"/>
      <c r="F3" s="94"/>
      <c r="G3" s="94"/>
      <c r="H3" s="94"/>
      <c r="I3" s="94"/>
    </row>
    <row r="4" spans="1:9" ht="20.25" customHeight="1">
      <c r="A4" s="93" t="s">
        <v>15</v>
      </c>
      <c r="B4" s="93"/>
      <c r="C4" s="93"/>
      <c r="D4" s="93"/>
      <c r="E4" s="93"/>
      <c r="F4" s="93"/>
      <c r="G4" s="93"/>
      <c r="H4" s="93"/>
      <c r="I4" s="93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91" t="s">
        <v>3</v>
      </c>
      <c r="B7" s="13"/>
      <c r="C7" s="91" t="s">
        <v>0</v>
      </c>
      <c r="D7" s="92" t="s">
        <v>1</v>
      </c>
      <c r="E7" s="92" t="s">
        <v>19</v>
      </c>
      <c r="F7" s="92" t="s">
        <v>112</v>
      </c>
      <c r="G7" s="14" t="s">
        <v>113</v>
      </c>
      <c r="H7" s="95" t="s">
        <v>139</v>
      </c>
      <c r="I7" s="97" t="s">
        <v>2</v>
      </c>
      <c r="J7" s="102" t="s">
        <v>137</v>
      </c>
    </row>
    <row r="8" spans="1:25" ht="39.75" customHeight="1">
      <c r="A8" s="91"/>
      <c r="B8" s="1" t="s">
        <v>20</v>
      </c>
      <c r="C8" s="91"/>
      <c r="D8" s="92"/>
      <c r="E8" s="92"/>
      <c r="F8" s="92"/>
      <c r="G8" s="52" t="s">
        <v>114</v>
      </c>
      <c r="H8" s="96"/>
      <c r="I8" s="98"/>
      <c r="J8" s="103"/>
      <c r="L8" s="106" t="s">
        <v>138</v>
      </c>
      <c r="M8" s="97" t="s">
        <v>26</v>
      </c>
      <c r="N8" s="102" t="s">
        <v>27</v>
      </c>
      <c r="O8" s="97" t="s">
        <v>28</v>
      </c>
      <c r="P8" s="97" t="s">
        <v>29</v>
      </c>
      <c r="Q8" s="97" t="s">
        <v>30</v>
      </c>
      <c r="R8" s="97" t="s">
        <v>31</v>
      </c>
      <c r="S8" s="97" t="s">
        <v>32</v>
      </c>
      <c r="T8" s="97" t="s">
        <v>33</v>
      </c>
      <c r="U8" s="97" t="s">
        <v>34</v>
      </c>
      <c r="V8" s="97" t="s">
        <v>35</v>
      </c>
      <c r="W8" s="97" t="s">
        <v>36</v>
      </c>
      <c r="X8" s="97" t="s">
        <v>37</v>
      </c>
      <c r="Y8" s="97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7"/>
      <c r="M9" s="98"/>
      <c r="N9" s="103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s="15" customFormat="1" ht="19.5" customHeight="1">
      <c r="A10" s="104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92920897.47000001</v>
      </c>
      <c r="I11" s="38">
        <f aca="true" t="shared" si="0" ref="I11:I18">H11/D11*100</f>
        <v>48.194783975631175</v>
      </c>
      <c r="J11" s="38">
        <f>(H11/(M11+N11+O11+P11+Q11+R11+S11+V11+W11+O29+P29+Q29+R29+S29+T11+T29+U11+U29+V29+W29))*100</f>
        <v>76.76113240746687</v>
      </c>
      <c r="K11" s="40"/>
      <c r="L11" s="49">
        <f>M11+N11+O11+P11+Q11+R11+S11+T11+U11+V11+W11-H12</f>
        <v>15771090.499999985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5806487.390000001</v>
      </c>
      <c r="W11" s="46">
        <f t="shared" si="1"/>
        <v>17408205.19</v>
      </c>
      <c r="X11" s="46">
        <f t="shared" si="1"/>
        <v>38049886.9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68087738.89000002</v>
      </c>
      <c r="I12" s="54">
        <f t="shared" si="0"/>
        <v>55.85141158244249</v>
      </c>
      <c r="J12" s="79">
        <f>(H12/(M11+N11+O11+P11+Q11+R11+S11+T11+U11+V11+W11))*100</f>
        <v>81.19328565075264</v>
      </c>
      <c r="L12" s="45">
        <f>(M12+N12+O12+P12+Q12+R12+S12+T12+U12+V12+W12)-(H13+H16+H17+H18)</f>
        <v>2095101.2300000004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942800+2500000-120000-3300000+138000+2857000</f>
        <v>3017800</v>
      </c>
      <c r="W12" s="44">
        <f>936600+1500000-650000-1016222.96-770000+1552326.72</f>
        <v>1552703.76</v>
      </c>
      <c r="X12" s="44">
        <f>342435+900000-14000+6745527+14617000-1961276.97-2087000-1552326.72</f>
        <v>16990358.310000002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532303+727873+1251296+858646+1446936+1569996+1187113+1502691.34+2083769+5033364+3369856.24+929940.44+2850176.44</f>
        <v>23343960.46</v>
      </c>
      <c r="I13" s="17">
        <f t="shared" si="0"/>
        <v>59.63378768664936</v>
      </c>
      <c r="J13" s="86">
        <f>((H13+H16+H17+H18)/(M12+N12+O12+P12+Q12+R12+S12+T12+U12+V12+W12))*100</f>
        <v>93.60789777360714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87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87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31577.39+15917.61+121677.93+62675.88+102268.28+39092.55+52605.2+54734.36+188440.48+957995.29+82453.86+90143.4+306140.06+185523.83+118297.71+35911.15+980849.61+90100.36+66061.72+377335</f>
        <v>3959801.67</v>
      </c>
      <c r="I16" s="17">
        <f t="shared" si="0"/>
        <v>66.06496162701458</v>
      </c>
      <c r="J16" s="87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87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8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37406436.43000001</v>
      </c>
      <c r="I21" s="33">
        <f>H21/D21*100</f>
        <v>51.85115484899626</v>
      </c>
      <c r="J21" s="86">
        <f>(H21/(M21+N21+O21+P21+Q21+R21+S21+T21+U21+V21+W21))*100</f>
        <v>73.22760404856814</v>
      </c>
      <c r="L21" s="50">
        <f>(M21+N21+O21+P21+Q21+R21+S21+T21+U21+V21+W21)-H21</f>
        <v>13675989.269999988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3424354.15-1500000+3500000+544000-2835800-1263777.04-13275.68+14000000</f>
        <v>15855501.43</v>
      </c>
      <c r="X21" s="44">
        <f>3124354.15-900000+3365442-2835810+34833600-2326000-202057.56-14000000</f>
        <v>21059528.589999996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+51449.91+592641.6+633946</f>
        <v>13667763.160000002</v>
      </c>
      <c r="I22" s="21">
        <f aca="true" t="shared" si="5" ref="I22:I28">H22/D22*100</f>
        <v>54.04859122938851</v>
      </c>
      <c r="J22" s="87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3018.28+221000+2320.65+77508.36+435632.12+3420+260295.43+449818+464448</f>
        <v>1917460.8399999999</v>
      </c>
      <c r="I23" s="21">
        <f t="shared" si="5"/>
        <v>88.0487743323567</v>
      </c>
      <c r="J23" s="87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87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26983.36+34475.26+63440+49627.68+79670+34437.03+5002.5+63090+20955.76+29601.77+67621.66+62553.1+20194.29+13201.67+134900.02+88289.97+3238.8</f>
        <v>797282.8700000001</v>
      </c>
      <c r="I25" s="21">
        <f t="shared" si="5"/>
        <v>58.14449300821698</v>
      </c>
      <c r="J25" s="87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72895+67562+82967+104083+126739+197420+70879+108451+430425.6+192221+104308+1088465+84059.88+315095+357655+344390.16+547577+73996</f>
        <v>4369188.640000001</v>
      </c>
      <c r="I26" s="21">
        <f t="shared" si="5"/>
        <v>88.50387662349266</v>
      </c>
      <c r="J26" s="87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86531.11+203443.22+192114.36+217561.1</f>
        <v>699649.79</v>
      </c>
      <c r="I27" s="21">
        <f t="shared" si="5"/>
        <v>45.37693381418911</v>
      </c>
      <c r="J27" s="87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+68033.66+311821.7+871434</f>
        <v>14933984</v>
      </c>
      <c r="I28" s="21">
        <f t="shared" si="5"/>
        <v>41.789667935607255</v>
      </c>
      <c r="J28" s="88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24833158.580000002</v>
      </c>
      <c r="I29" s="54">
        <f>H29/D29*100</f>
        <v>35.02852988820948</v>
      </c>
      <c r="J29" s="79">
        <f>(H29/(M29+N29+O29+P29+Q29+R29+S29+T29+U29+V29+W29))*100</f>
        <v>66.76803347918663</v>
      </c>
      <c r="L29" s="50">
        <f>(M29+N29+O29+P29+Q29+R29+S29+T29+U29+V29+W29)-H29</f>
        <v>12360026.969999995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2032838.79</v>
      </c>
      <c r="W29" s="73">
        <f t="shared" si="8"/>
        <v>6349953.37</v>
      </c>
      <c r="X29" s="73">
        <f t="shared" si="8"/>
        <v>33700907.519999996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(H30/(M30+N30+O30+P30+Q30+R30+S30+T30+U30+V30+W30))*100</f>
        <v>100</v>
      </c>
      <c r="L30" s="45">
        <f>(M30+N30+O30+P30+Q30+R30+S30+T30+U30+V30+W30)-H30</f>
        <v>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>
        <f>-97000</f>
        <v>-97000</v>
      </c>
      <c r="W30" s="70"/>
      <c r="X30" s="75">
        <f>959220+97000</f>
        <v>1056220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(H31/(M31+N31+O31+P31+Q31+R31+S31+T31+U31+V31+W31))*100</f>
        <v>100</v>
      </c>
      <c r="L31" s="45">
        <f aca="true" t="shared" si="12" ref="L31:L85">(M31+N31+O31+P31+Q31+R31+S31+T31+U31+V31+W31)-H31</f>
        <v>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>
        <f>-110000</f>
        <v>-110000</v>
      </c>
      <c r="W31" s="70"/>
      <c r="X31" s="75">
        <f>277256+110000</f>
        <v>387256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221316.46999999997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85">
        <f>278000-59000</f>
        <v>219000</v>
      </c>
      <c r="W38" s="85"/>
      <c r="X38" s="85">
        <f>50000+59000</f>
        <v>109000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166000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100</v>
      </c>
      <c r="L42" s="45">
        <f t="shared" si="12"/>
        <v>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>
        <f>-127000</f>
        <v>-127000</v>
      </c>
      <c r="W42" s="70"/>
      <c r="X42" s="75">
        <f>1388602+127000</f>
        <v>1515602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11.607142857142858</v>
      </c>
      <c r="L45" s="45">
        <f t="shared" si="12"/>
        <v>198000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f>200000-200000</f>
        <v>0</v>
      </c>
      <c r="W45" s="70">
        <f>198000</f>
        <v>198000</v>
      </c>
      <c r="X45" s="70">
        <f>200000</f>
        <v>200000</v>
      </c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8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262000-262000</f>
        <v>0</v>
      </c>
      <c r="W47" s="70"/>
      <c r="X47" s="70">
        <f>262000</f>
        <v>262000</v>
      </c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>
        <f>-91000</f>
        <v>-91000</v>
      </c>
      <c r="W48" s="70"/>
      <c r="X48" s="70">
        <f>91000</f>
        <v>91000</v>
      </c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62.75457827707335</v>
      </c>
      <c r="L50" s="45">
        <f t="shared" si="12"/>
        <v>320000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300000-300000</f>
        <v>0</v>
      </c>
      <c r="W57" s="70">
        <f>300000</f>
        <v>300000</v>
      </c>
      <c r="X57" s="70">
        <f>300000</f>
        <v>300000</v>
      </c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>
        <f>182500</f>
        <v>182500</v>
      </c>
      <c r="I59" s="17">
        <f t="shared" si="10"/>
        <v>12.537116735189166</v>
      </c>
      <c r="J59" s="51">
        <f t="shared" si="11"/>
        <v>100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>
        <f>182500</f>
        <v>182500</v>
      </c>
      <c r="W59" s="70"/>
      <c r="X59" s="75">
        <f>1455677.6-182500</f>
        <v>1273177.6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523500-500000</f>
        <v>23500</v>
      </c>
      <c r="W63" s="70"/>
      <c r="X63" s="70">
        <f>726000+500000</f>
        <v>1226000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3930000+109000+110891.2</f>
        <v>4149891.2</v>
      </c>
      <c r="I64" s="17">
        <f t="shared" si="10"/>
        <v>23.081879971077367</v>
      </c>
      <c r="J64" s="51">
        <f t="shared" si="11"/>
        <v>50.61460178070497</v>
      </c>
      <c r="L64" s="45">
        <f t="shared" si="12"/>
        <v>4049108.8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130000+3643250+51820.6+52162.95</f>
        <v>3877233.5500000003</v>
      </c>
      <c r="I65" s="77">
        <f t="shared" si="10"/>
        <v>25.242161062369906</v>
      </c>
      <c r="J65" s="51">
        <f t="shared" si="11"/>
        <v>53.970893701003234</v>
      </c>
      <c r="L65" s="45">
        <f t="shared" si="12"/>
        <v>3306700.7600000002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3474039-1500000-1303000-770000-21109.27</f>
        <v>-120070.27</v>
      </c>
      <c r="W65" s="75">
        <f>770000</f>
        <v>770000</v>
      </c>
      <c r="X65" s="75">
        <f>318995.42+7836110+21109.27</f>
        <v>8176214.6899999995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37.735849056603776</v>
      </c>
      <c r="L66" s="45">
        <f t="shared" si="12"/>
        <v>1650000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85">
        <f>115000-115000</f>
        <v>0</v>
      </c>
      <c r="W74" s="85"/>
      <c r="X74" s="85">
        <f>115000</f>
        <v>115000</v>
      </c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23.411138054672783</v>
      </c>
      <c r="L75" s="45">
        <f t="shared" si="12"/>
        <v>658910.0399999999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400000-182500</f>
        <v>217500</v>
      </c>
      <c r="W75" s="70"/>
      <c r="X75" s="70">
        <f>182500</f>
        <v>182500</v>
      </c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93.65333959506586</v>
      </c>
      <c r="L77" s="45">
        <f t="shared" si="12"/>
        <v>12881.710000000021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>
        <f>12881.71</f>
        <v>12881.71</v>
      </c>
      <c r="W77" s="70"/>
      <c r="X77" s="70">
        <f>12881.71-12881.71</f>
        <v>0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94.3538849719741</v>
      </c>
      <c r="L78" s="45">
        <f t="shared" si="12"/>
        <v>8227.350000000006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>
        <f>8227.35</f>
        <v>8227.35</v>
      </c>
      <c r="W78" s="70"/>
      <c r="X78" s="70">
        <f>8227.35-8227.35</f>
        <v>0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91.67608286252354</v>
      </c>
      <c r="L80" s="45">
        <f t="shared" si="12"/>
        <v>88400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280000-201000</f>
        <v>79000</v>
      </c>
      <c r="W80" s="70">
        <v>21753.37</v>
      </c>
      <c r="X80" s="70">
        <f>237000+201000</f>
        <v>438000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215000+222837</f>
        <v>437837</v>
      </c>
      <c r="I82" s="17">
        <f t="shared" si="10"/>
        <v>72.97283333333333</v>
      </c>
      <c r="J82" s="51">
        <f t="shared" si="11"/>
        <v>99.96278538812786</v>
      </c>
      <c r="L82" s="45">
        <f t="shared" si="12"/>
        <v>163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>
        <f>201000</f>
        <v>201000</v>
      </c>
      <c r="W82" s="76"/>
      <c r="X82" s="76">
        <f>600000-237000-201000</f>
        <v>162000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68.94736842105263</v>
      </c>
      <c r="L84" s="45">
        <f t="shared" si="12"/>
        <v>472000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>
        <f>-80000</f>
        <v>-80000</v>
      </c>
      <c r="X84" s="70">
        <f>80000</f>
        <v>80000</v>
      </c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9" t="s">
        <v>89</v>
      </c>
      <c r="B86" s="100"/>
      <c r="C86" s="100"/>
      <c r="D86" s="100"/>
      <c r="E86" s="100"/>
      <c r="F86" s="100"/>
      <c r="G86" s="101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68024629.19</v>
      </c>
      <c r="I87" s="8">
        <f t="shared" si="10"/>
        <v>46.7605565642903</v>
      </c>
      <c r="J87" s="8">
        <f>(H87/(M87+N87+O87+P87+Q87+R87+S87+T87+U87+V87+W87))*100</f>
        <v>61.581752974861814</v>
      </c>
      <c r="L87" s="50">
        <f>(M87+N87+O87+P87+Q87+R87+S87+T87+U87+V87+W87)-H87</f>
        <v>42437684.57000001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(H88/(M88+N88+O88+P88+Q88+R88+S88+T88+U88+V88+W88))*100</f>
        <v>64.40100625</v>
      </c>
      <c r="L88" s="45">
        <f>(M88+N88+O88+P88+Q88+R88+S88+T88+U88+V88+W88)-H88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</f>
        <v>2299660.59</v>
      </c>
      <c r="I89" s="17">
        <f t="shared" si="10"/>
        <v>39.21734818855619</v>
      </c>
      <c r="J89" s="51">
        <f aca="true" t="shared" si="17" ref="J89:J123">(H89/(M89+N89+O89+P89+Q89+R89+S89+T89+U89+V89+W89))*100</f>
        <v>52.26501340909091</v>
      </c>
      <c r="L89" s="45">
        <f aca="true" t="shared" si="18" ref="L89:L124">(M89+N89+O89+P89+Q89+R89+S89+T89+U89+V89+W89)-H89</f>
        <v>2100339.41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>
        <f>33552</f>
        <v>33552</v>
      </c>
      <c r="I91" s="17">
        <f t="shared" si="10"/>
        <v>8.907368859289457</v>
      </c>
      <c r="J91" s="51">
        <f t="shared" si="17"/>
        <v>98.68235294117646</v>
      </c>
      <c r="L91" s="45">
        <f t="shared" si="18"/>
        <v>448</v>
      </c>
      <c r="M91" s="66"/>
      <c r="N91" s="66"/>
      <c r="O91" s="66"/>
      <c r="P91" s="66"/>
      <c r="Q91" s="66"/>
      <c r="R91" s="66"/>
      <c r="S91" s="66"/>
      <c r="T91" s="66"/>
      <c r="U91" s="76"/>
      <c r="V91" s="76">
        <f>34000</f>
        <v>34000</v>
      </c>
      <c r="W91" s="76"/>
      <c r="X91" s="76">
        <f>376676.89-34000</f>
        <v>342676.89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2.2219983883964547</v>
      </c>
      <c r="L93" s="45">
        <f t="shared" si="18"/>
        <v>1213425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>
        <f>-89000</f>
        <v>-89000</v>
      </c>
      <c r="W93" s="66"/>
      <c r="X93" s="66">
        <f>89000</f>
        <v>89000</v>
      </c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577692+778157+1108224+5975.9</f>
        <v>2470048.9</v>
      </c>
      <c r="I94" s="17">
        <f aca="true" t="shared" si="20" ref="I94:I107">H94/D94*100</f>
        <v>15.833646794871795</v>
      </c>
      <c r="J94" s="51">
        <f t="shared" si="17"/>
        <v>26.319114544485885</v>
      </c>
      <c r="L94" s="45">
        <f t="shared" si="18"/>
        <v>6914951.1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9752+54700</f>
        <v>64452</v>
      </c>
      <c r="I95" s="17">
        <f t="shared" si="20"/>
        <v>4.2968</v>
      </c>
      <c r="J95" s="51">
        <f t="shared" si="17"/>
        <v>99.15692307692308</v>
      </c>
      <c r="L95" s="45">
        <f t="shared" si="18"/>
        <v>548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>
        <f>55000</f>
        <v>55000</v>
      </c>
      <c r="W95" s="66"/>
      <c r="X95" s="66">
        <f>1500000-10000-55000</f>
        <v>1435000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5291+11445+28516</f>
        <v>45252</v>
      </c>
      <c r="I96" s="17">
        <f t="shared" si="20"/>
        <v>15.084</v>
      </c>
      <c r="J96" s="51">
        <f t="shared" si="17"/>
        <v>15.084</v>
      </c>
      <c r="L96" s="45">
        <f t="shared" si="18"/>
        <v>254748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51">
        <f t="shared" si="17"/>
        <v>0</v>
      </c>
      <c r="L97" s="45">
        <f t="shared" si="18"/>
        <v>600000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51">
        <f t="shared" si="17"/>
        <v>0</v>
      </c>
      <c r="L98" s="45">
        <f t="shared" si="18"/>
        <v>350000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78.81120472440945</v>
      </c>
      <c r="L99" s="45">
        <f t="shared" si="18"/>
        <v>753473.56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4094050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7000000+3000000+112682.22-2000000+4000000+1252856.79+2704881.39+98711.87</f>
        <v>16169132.270000001</v>
      </c>
      <c r="I101" s="17">
        <f t="shared" si="20"/>
        <v>44.18773506738554</v>
      </c>
      <c r="J101" s="51">
        <f t="shared" si="17"/>
        <v>75.23661519504947</v>
      </c>
      <c r="L101" s="45">
        <f t="shared" si="18"/>
        <v>5321909.33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500000+366829</f>
        <v>866829</v>
      </c>
      <c r="I103" s="17">
        <f>H103/D103*100</f>
        <v>16.3552641509434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f>100000+366829</f>
        <v>466829</v>
      </c>
      <c r="W103" s="75"/>
      <c r="X103" s="75">
        <f>4800000-366829</f>
        <v>4433171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150000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800000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51">
        <f t="shared" si="17"/>
        <v>0</v>
      </c>
      <c r="L109" s="45">
        <f t="shared" si="18"/>
        <v>400000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51">
        <f t="shared" si="17"/>
        <v>0</v>
      </c>
      <c r="L110" s="45">
        <f t="shared" si="18"/>
        <v>750000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65.55050319192378</v>
      </c>
      <c r="L111" s="45">
        <f t="shared" si="18"/>
        <v>2629589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1000000+486000-366829</f>
        <v>1119171</v>
      </c>
      <c r="W111" s="66"/>
      <c r="X111" s="66">
        <f>366829</f>
        <v>366829</v>
      </c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51">
        <f t="shared" si="17"/>
        <v>0</v>
      </c>
      <c r="L112" s="45">
        <f t="shared" si="18"/>
        <v>350000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33264+9234+1620974.51+23480.87+1785858+310973.57+32406.76+430403.87+5514.81-430403.87</f>
        <v>3821706.5199999986</v>
      </c>
      <c r="I119" s="17">
        <f t="shared" si="21"/>
        <v>38.86217734390887</v>
      </c>
      <c r="J119" s="51">
        <f t="shared" si="17"/>
        <v>43.26133710663345</v>
      </c>
      <c r="L119" s="45">
        <f t="shared" si="18"/>
        <v>5012293.480000001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26.958502643400546</v>
      </c>
      <c r="L121" s="45">
        <f t="shared" si="18"/>
        <v>1485477.07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</f>
        <v>5037592.8</v>
      </c>
      <c r="I122" s="17">
        <f t="shared" si="21"/>
        <v>49.87715643564356</v>
      </c>
      <c r="J122" s="51">
        <f t="shared" si="17"/>
        <v>51.93394639175257</v>
      </c>
      <c r="L122" s="45">
        <f t="shared" si="18"/>
        <v>4662407.2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447975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160945526.66000003</v>
      </c>
      <c r="I124" s="8">
        <f t="shared" si="21"/>
        <v>47.57800179511881</v>
      </c>
      <c r="J124" s="84">
        <f>(H124/(M124+N124+O124+P124+Q124+R124+S124+T124+U124+V124+W124))*100</f>
        <v>69.51860282849096</v>
      </c>
      <c r="L124" s="50">
        <f t="shared" si="18"/>
        <v>70568802.03999996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18273326.18</v>
      </c>
      <c r="W124" s="50">
        <f t="shared" si="22"/>
        <v>39489919.16</v>
      </c>
      <c r="X124" s="50">
        <f t="shared" si="22"/>
        <v>106762859.47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W8:W9"/>
    <mergeCell ref="P8:P9"/>
    <mergeCell ref="Q8:Q9"/>
    <mergeCell ref="R8:R9"/>
    <mergeCell ref="S8:S9"/>
    <mergeCell ref="I7:I8"/>
    <mergeCell ref="F7:F8"/>
    <mergeCell ref="O8:O9"/>
    <mergeCell ref="V8:V9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2018-11-05T15:02:53Z</dcterms:modified>
  <cp:category/>
  <cp:version/>
  <cp:contentType/>
  <cp:contentStatus/>
</cp:coreProperties>
</file>